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5525" activeTab="0"/>
  </bookViews>
  <sheets>
    <sheet name="Sheet1" sheetId="1" r:id="rId1"/>
  </sheets>
  <definedNames>
    <definedName name="_R1">'Sheet1'!$C$37</definedName>
    <definedName name="_R2">'Sheet1'!$C$38</definedName>
    <definedName name="_R3">'Sheet1'!$C$39</definedName>
    <definedName name="_R4">'Sheet1'!$C$40</definedName>
    <definedName name="Avg_Piston_Area">'Sheet1'!$C$10</definedName>
    <definedName name="Avg_Piston_Force">'Sheet1'!$C$12</definedName>
    <definedName name="Axial_ID_Force">'Sheet1'!$C$11</definedName>
    <definedName name="Axial_Piston_Force">'Sheet1'!$C$12</definedName>
    <definedName name="Axial_Stress">'Sheet1'!$C$16</definedName>
    <definedName name="Axial_Stress_Mpa">'Sheet1'!$C$15</definedName>
    <definedName name="b_">'Sheet1'!$C$3</definedName>
    <definedName name="Bottom_Piston_Area">'Sheet1'!$C$9</definedName>
    <definedName name="Bottom_Piston_Diam">'Sheet1'!$C$8</definedName>
    <definedName name="C_">'Sheet1'!$C$28</definedName>
    <definedName name="Chamber_ID_mm">'Sheet1'!$C$4</definedName>
    <definedName name="Chamber_Inside_Area">'Sheet1'!$C$5</definedName>
    <definedName name="Chamber_OD_mm">'Sheet1'!$C$2</definedName>
    <definedName name="Chamber_Wall_mm">'Sheet1'!$C$3</definedName>
    <definedName name="dC_">'Sheet1'!$C$27</definedName>
    <definedName name="deltaR">'Sheet1'!$C$32</definedName>
    <definedName name="DeltaR_axial">'Sheet1'!$C$33</definedName>
    <definedName name="dr">'Sheet1'!$C$25</definedName>
    <definedName name="E_">'Sheet1'!$C$21</definedName>
    <definedName name="Hoop_strain">'Sheet1'!$C$23</definedName>
    <definedName name="Hoop_Stress">'Sheet1'!$C$17</definedName>
    <definedName name="Imbalancing">'Sheet1'!$C$43</definedName>
    <definedName name="Nett_Axial_Force">'Sheet1'!$C$13</definedName>
    <definedName name="p">'Sheet1'!$C$20</definedName>
    <definedName name="Passive_Rs">'Sheet1'!$C$31</definedName>
    <definedName name="r_">'Sheet1'!$C$4</definedName>
    <definedName name="Rg">'Sheet1'!$C$30</definedName>
    <definedName name="Strain_Gauge_Factor">'Sheet1'!$C$29</definedName>
    <definedName name="Top_Piston_Area">'Sheet1'!$C$7</definedName>
    <definedName name="Top_Piston_Diam">'Sheet1'!$C$6</definedName>
    <definedName name="Vpos">'Sheet1'!$C$36</definedName>
    <definedName name="Wall_Cross_Sectional_Area">'Sheet1'!$C$14</definedName>
  </definedNames>
  <calcPr fullCalcOnLoad="1"/>
</workbook>
</file>

<file path=xl/sharedStrings.xml><?xml version="1.0" encoding="utf-8"?>
<sst xmlns="http://schemas.openxmlformats.org/spreadsheetml/2006/main" count="94" uniqueCount="64">
  <si>
    <t>m</t>
  </si>
  <si>
    <t>mm</t>
  </si>
  <si>
    <t>Mpa</t>
  </si>
  <si>
    <t>N/M^2</t>
  </si>
  <si>
    <t>Modulus of Elasticity E</t>
  </si>
  <si>
    <t>Strain Gauge Factor</t>
  </si>
  <si>
    <t>2=typical</t>
  </si>
  <si>
    <t>Gauge Resistance</t>
  </si>
  <si>
    <t>ohms</t>
  </si>
  <si>
    <t xml:space="preserve">Wheatstone Bridge </t>
  </si>
  <si>
    <t>Output V</t>
  </si>
  <si>
    <t>V</t>
  </si>
  <si>
    <t>mV</t>
  </si>
  <si>
    <t>Output mV</t>
  </si>
  <si>
    <t>Change in Radius Δr (m)</t>
  </si>
  <si>
    <t>Change in circumferene (mm)</t>
  </si>
  <si>
    <t>Outer Cirumference (mm)</t>
  </si>
  <si>
    <t>Pressure in chamber psi</t>
  </si>
  <si>
    <t>Pressure in chamber p</t>
  </si>
  <si>
    <t>mW</t>
  </si>
  <si>
    <t>Heat/pwr dissipation (through R3)</t>
  </si>
  <si>
    <t>Heat/pwr dissipation (whole bridge)</t>
  </si>
  <si>
    <t>Poissons Ratio</t>
  </si>
  <si>
    <t>Hoop strain εø</t>
  </si>
  <si>
    <t>Axial strain εz</t>
  </si>
  <si>
    <t>Top Piston Diam</t>
  </si>
  <si>
    <t>Top Piston Area</t>
  </si>
  <si>
    <t>Bottom Piston Diam</t>
  </si>
  <si>
    <t>Bottom Piston Area</t>
  </si>
  <si>
    <t>Chamber Outside Diameter</t>
  </si>
  <si>
    <t>Chamber Wall Thickness</t>
  </si>
  <si>
    <t>Chamber Inside Radius</t>
  </si>
  <si>
    <t>mm^2</t>
  </si>
  <si>
    <t>N</t>
  </si>
  <si>
    <t>Avg Piston X-Sect Area</t>
  </si>
  <si>
    <t>Axial cross-sectional force ID</t>
  </si>
  <si>
    <t>Axial X-Sect Force ID - Piston Area</t>
  </si>
  <si>
    <t>Axial cross-sectional force Piston</t>
  </si>
  <si>
    <t>Wall Cross-Sectional Area</t>
  </si>
  <si>
    <t>Axial Stress on cylinder σz</t>
  </si>
  <si>
    <t>Pa</t>
  </si>
  <si>
    <t>Hoop Stress σø</t>
  </si>
  <si>
    <t>(&lt; 0 = compression)</t>
  </si>
  <si>
    <t>Change in Outside Diam Δd (mm)</t>
  </si>
  <si>
    <t>ΔR (hoop strain gauges)</t>
  </si>
  <si>
    <t>ΔR (axial strain gauges)</t>
  </si>
  <si>
    <t>Heat/pwr dissipation (through R1)</t>
  </si>
  <si>
    <t>Heat/pwr dissipation (through R2)</t>
  </si>
  <si>
    <t>Heat/pwr dissipation (through R4)</t>
  </si>
  <si>
    <t>Passive Resistor Resistances</t>
  </si>
  <si>
    <t>Offset from Bridge Imbalancing</t>
  </si>
  <si>
    <t>Excitation Voltage</t>
  </si>
  <si>
    <t>Glancing through the www; there doesn’t really appear to be a standardized illustration of a wheatstone bridge so I’ve standardized on my personal favourite educational source for strain and strain gauges. https://fenix.tecnico.ulisboa.pt/downloadFile/282093452027593/Strain_gages.pdf</t>
  </si>
  <si>
    <t>Psi</t>
  </si>
  <si>
    <t>R3 (Strain Gauge Hoop)</t>
  </si>
  <si>
    <t>(marked) Green Surfaces illustrating radial force area transferred to casing hoop stress</t>
  </si>
  <si>
    <t>(marked) Blue Surfaces illustrating axial force area transferred to casing axial stress</t>
  </si>
  <si>
    <t>Chamber Inside X-sectional Area</t>
  </si>
  <si>
    <t>for 6061 T6</t>
  </si>
  <si>
    <r>
      <t xml:space="preserve">(marked) Red Surfaces illustrating axial force areas transferred to central load shaft (ie. Force </t>
    </r>
    <r>
      <rPr>
        <i/>
        <u val="single"/>
        <sz val="11"/>
        <color indexed="10"/>
        <rFont val="Calibri"/>
        <family val="2"/>
      </rPr>
      <t>not</t>
    </r>
    <r>
      <rPr>
        <sz val="11"/>
        <color indexed="10"/>
        <rFont val="Calibri"/>
        <family val="2"/>
      </rPr>
      <t xml:space="preserve"> transferred to casing wall)</t>
    </r>
  </si>
  <si>
    <t>R1 (Passive Resistor)</t>
  </si>
  <si>
    <t>R2 (Passive Resistor)</t>
  </si>
  <si>
    <t>R4 (Passive Resistor)</t>
  </si>
  <si>
    <t>Note: as illustrated, this particular application exposes the chamber wall to the full hoop stress from chamber pressure whereas axial stress is limited to a fraction of what would normally be realised with a typical closed cylinder due to the central load shaft and attached pistons taking the bulk of the axial force. This translates to enough of a Poissons effect (axial strain on casing will actually be negative) to allow for the utilization of a single full bridge strain gauge (Pictured right)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</si>
</sst>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0000"/>
    <numFmt numFmtId="167" formatCode="0.00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i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23"/>
      <name val="Calibri"/>
      <family val="2"/>
    </font>
    <font>
      <sz val="11"/>
      <color indexed="3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1"/>
      <color theme="2" tint="-0.4999699890613556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i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lightGray">
        <fgColor theme="0"/>
        <bgColor theme="4" tint="0.3999499976634979"/>
      </patternFill>
    </fill>
    <fill>
      <patternFill patternType="lightGray">
        <fgColor theme="0"/>
        <bgColor theme="8" tint="0.7999799847602844"/>
      </patternFill>
    </fill>
    <fill>
      <patternFill patternType="lightGray">
        <fgColor theme="0"/>
        <bgColor theme="4" tint="0.5999600291252136"/>
      </patternFill>
    </fill>
    <fill>
      <gradientFill degree="90">
        <stop position="0">
          <color theme="0"/>
        </stop>
        <stop position="1">
          <color theme="4" tint="0.8000100255012512"/>
        </stop>
      </gradientFill>
    </fill>
    <fill>
      <gradientFill degree="90">
        <stop position="0">
          <color theme="0"/>
        </stop>
        <stop position="1">
          <color theme="4" tint="0.8000100255012512"/>
        </stop>
      </gradientFill>
    </fill>
    <fill>
      <gradientFill degree="90">
        <stop position="0">
          <color theme="0"/>
        </stop>
        <stop position="1">
          <color theme="4" tint="0.8000100255012512"/>
        </stop>
      </gradient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6" borderId="0" xfId="0" applyFill="1" applyAlignment="1">
      <alignment/>
    </xf>
    <xf numFmtId="11" fontId="0" fillId="6" borderId="0" xfId="0" applyNumberFormat="1" applyFill="1" applyAlignment="1">
      <alignment/>
    </xf>
    <xf numFmtId="164" fontId="0" fillId="6" borderId="0" xfId="0" applyNumberFormat="1" applyFill="1" applyAlignment="1">
      <alignment/>
    </xf>
    <xf numFmtId="166" fontId="0" fillId="6" borderId="0" xfId="0" applyNumberForma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2" fontId="0" fillId="6" borderId="0" xfId="0" applyNumberFormat="1" applyFill="1" applyAlignment="1">
      <alignment/>
    </xf>
    <xf numFmtId="0" fontId="39" fillId="35" borderId="0" xfId="0" applyFont="1" applyFill="1" applyAlignment="1">
      <alignment/>
    </xf>
    <xf numFmtId="0" fontId="0" fillId="6" borderId="0" xfId="0" applyNumberFormat="1" applyFill="1" applyAlignment="1">
      <alignment/>
    </xf>
    <xf numFmtId="2" fontId="0" fillId="33" borderId="10" xfId="0" applyNumberFormat="1" applyFill="1" applyBorder="1" applyAlignment="1">
      <alignment/>
    </xf>
    <xf numFmtId="0" fontId="0" fillId="6" borderId="0" xfId="0" applyFill="1" applyBorder="1" applyAlignment="1">
      <alignment/>
    </xf>
    <xf numFmtId="165" fontId="0" fillId="0" borderId="0" xfId="0" applyNumberFormat="1" applyAlignment="1">
      <alignment/>
    </xf>
    <xf numFmtId="0" fontId="40" fillId="34" borderId="0" xfId="0" applyFont="1" applyFill="1" applyAlignment="1">
      <alignment/>
    </xf>
    <xf numFmtId="165" fontId="40" fillId="6" borderId="0" xfId="0" applyNumberFormat="1" applyFont="1" applyFill="1" applyAlignment="1">
      <alignment/>
    </xf>
    <xf numFmtId="0" fontId="40" fillId="35" borderId="0" xfId="0" applyFont="1" applyFill="1" applyAlignment="1">
      <alignment/>
    </xf>
    <xf numFmtId="0" fontId="37" fillId="34" borderId="11" xfId="0" applyFont="1" applyFill="1" applyBorder="1" applyAlignment="1">
      <alignment/>
    </xf>
    <xf numFmtId="165" fontId="37" fillId="6" borderId="11" xfId="0" applyNumberFormat="1" applyFont="1" applyFill="1" applyBorder="1" applyAlignment="1">
      <alignment/>
    </xf>
    <xf numFmtId="0" fontId="37" fillId="35" borderId="11" xfId="0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33" borderId="10" xfId="0" applyFill="1" applyBorder="1" applyAlignment="1">
      <alignment/>
    </xf>
    <xf numFmtId="0" fontId="0" fillId="39" borderId="0" xfId="0" applyFill="1" applyAlignment="1">
      <alignment/>
    </xf>
    <xf numFmtId="0" fontId="43" fillId="40" borderId="0" xfId="0" applyFont="1" applyFill="1" applyAlignment="1">
      <alignment horizontal="center" vertical="center" wrapText="1"/>
    </xf>
    <xf numFmtId="0" fontId="0" fillId="41" borderId="0" xfId="0" applyFill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wrapText="1"/>
    </xf>
    <xf numFmtId="0" fontId="43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8.emf" /><Relationship Id="rId4" Type="http://schemas.openxmlformats.org/officeDocument/2006/relationships/image" Target="../media/image5.emf" /><Relationship Id="rId5" Type="http://schemas.openxmlformats.org/officeDocument/2006/relationships/image" Target="../media/image7.emf" /><Relationship Id="rId6" Type="http://schemas.openxmlformats.org/officeDocument/2006/relationships/image" Target="../media/image1.emf" /><Relationship Id="rId7" Type="http://schemas.openxmlformats.org/officeDocument/2006/relationships/image" Target="../media/image3.png" /><Relationship Id="rId8" Type="http://schemas.openxmlformats.org/officeDocument/2006/relationships/image" Target="../media/image9.png" /><Relationship Id="rId9" Type="http://schemas.openxmlformats.org/officeDocument/2006/relationships/image" Target="../media/image2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1266825</xdr:colOff>
      <xdr:row>33</xdr:row>
      <xdr:rowOff>190500</xdr:rowOff>
    </xdr:from>
    <xdr:to>
      <xdr:col>1</xdr:col>
      <xdr:colOff>1762125</xdr:colOff>
      <xdr:row>35</xdr:row>
      <xdr:rowOff>47625</xdr:rowOff>
    </xdr:to>
    <xdr:pic>
      <xdr:nvPicPr>
        <xdr:cNvPr id="1" name="F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6477000"/>
          <a:ext cx="495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1771650</xdr:colOff>
      <xdr:row>34</xdr:row>
      <xdr:rowOff>0</xdr:rowOff>
    </xdr:from>
    <xdr:to>
      <xdr:col>2</xdr:col>
      <xdr:colOff>171450</xdr:colOff>
      <xdr:row>35</xdr:row>
      <xdr:rowOff>47625</xdr:rowOff>
    </xdr:to>
    <xdr:pic>
      <xdr:nvPicPr>
        <xdr:cNvPr id="2" name="Half_P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6477000"/>
          <a:ext cx="581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34</xdr:row>
      <xdr:rowOff>0</xdr:rowOff>
    </xdr:from>
    <xdr:to>
      <xdr:col>3</xdr:col>
      <xdr:colOff>409575</xdr:colOff>
      <xdr:row>35</xdr:row>
      <xdr:rowOff>47625</xdr:rowOff>
    </xdr:to>
    <xdr:pic>
      <xdr:nvPicPr>
        <xdr:cNvPr id="3" name="Qt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86175" y="6477000"/>
          <a:ext cx="495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34</xdr:row>
      <xdr:rowOff>0</xdr:rowOff>
    </xdr:from>
    <xdr:to>
      <xdr:col>2</xdr:col>
      <xdr:colOff>866775</xdr:colOff>
      <xdr:row>35</xdr:row>
      <xdr:rowOff>47625</xdr:rowOff>
    </xdr:to>
    <xdr:pic>
      <xdr:nvPicPr>
        <xdr:cNvPr id="4" name="Half_P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28950" y="6477000"/>
          <a:ext cx="628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36</xdr:row>
      <xdr:rowOff>38100</xdr:rowOff>
    </xdr:from>
    <xdr:to>
      <xdr:col>0</xdr:col>
      <xdr:colOff>609600</xdr:colOff>
      <xdr:row>37</xdr:row>
      <xdr:rowOff>9525</xdr:rowOff>
    </xdr:to>
    <xdr:pic>
      <xdr:nvPicPr>
        <xdr:cNvPr id="5" name="R1_Se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7200" y="68961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37</xdr:row>
      <xdr:rowOff>28575</xdr:rowOff>
    </xdr:from>
    <xdr:to>
      <xdr:col>0</xdr:col>
      <xdr:colOff>609600</xdr:colOff>
      <xdr:row>37</xdr:row>
      <xdr:rowOff>190500</xdr:rowOff>
    </xdr:to>
    <xdr:pic>
      <xdr:nvPicPr>
        <xdr:cNvPr id="6" name="R2_Se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7200" y="70770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38</xdr:row>
      <xdr:rowOff>19050</xdr:rowOff>
    </xdr:from>
    <xdr:to>
      <xdr:col>0</xdr:col>
      <xdr:colOff>600075</xdr:colOff>
      <xdr:row>38</xdr:row>
      <xdr:rowOff>180975</xdr:rowOff>
    </xdr:to>
    <xdr:pic>
      <xdr:nvPicPr>
        <xdr:cNvPr id="7" name="R3_Se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7675" y="72580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39</xdr:row>
      <xdr:rowOff>19050</xdr:rowOff>
    </xdr:from>
    <xdr:to>
      <xdr:col>0</xdr:col>
      <xdr:colOff>600075</xdr:colOff>
      <xdr:row>39</xdr:row>
      <xdr:rowOff>180975</xdr:rowOff>
    </xdr:to>
    <xdr:pic>
      <xdr:nvPicPr>
        <xdr:cNvPr id="8" name="R4_Se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" y="74485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35</xdr:row>
      <xdr:rowOff>104775</xdr:rowOff>
    </xdr:from>
    <xdr:to>
      <xdr:col>7</xdr:col>
      <xdr:colOff>295275</xdr:colOff>
      <xdr:row>42</xdr:row>
      <xdr:rowOff>28575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53025" y="6772275"/>
          <a:ext cx="2000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0</xdr:row>
      <xdr:rowOff>152400</xdr:rowOff>
    </xdr:from>
    <xdr:to>
      <xdr:col>7</xdr:col>
      <xdr:colOff>152400</xdr:colOff>
      <xdr:row>28</xdr:row>
      <xdr:rowOff>28575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48250" y="152400"/>
          <a:ext cx="1962150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24</xdr:row>
      <xdr:rowOff>28575</xdr:rowOff>
    </xdr:from>
    <xdr:to>
      <xdr:col>9</xdr:col>
      <xdr:colOff>152400</xdr:colOff>
      <xdr:row>34</xdr:row>
      <xdr:rowOff>9525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72300" y="4600575"/>
          <a:ext cx="30003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15</xdr:row>
      <xdr:rowOff>161925</xdr:rowOff>
    </xdr:from>
    <xdr:to>
      <xdr:col>13</xdr:col>
      <xdr:colOff>333375</xdr:colOff>
      <xdr:row>27</xdr:row>
      <xdr:rowOff>19050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772775" y="3019425"/>
          <a:ext cx="21431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R49"/>
  <sheetViews>
    <sheetView showGridLines="0" tabSelected="1" zoomScalePageLayoutView="0" workbookViewId="0" topLeftCell="A1">
      <selection activeCell="P28" sqref="P28"/>
    </sheetView>
  </sheetViews>
  <sheetFormatPr defaultColWidth="9.140625" defaultRowHeight="15"/>
  <cols>
    <col min="2" max="2" width="32.7109375" style="0" customWidth="1"/>
    <col min="3" max="3" width="14.7109375" style="0" bestFit="1" customWidth="1"/>
    <col min="4" max="4" width="8.57421875" style="0" customWidth="1"/>
    <col min="5" max="5" width="10.8515625" style="0" customWidth="1"/>
    <col min="6" max="6" width="12.00390625" style="0" bestFit="1" customWidth="1"/>
    <col min="7" max="7" width="14.8515625" style="0" customWidth="1"/>
    <col min="8" max="8" width="12.00390625" style="0" bestFit="1" customWidth="1"/>
    <col min="9" max="9" width="32.421875" style="0" customWidth="1"/>
    <col min="10" max="10" width="14.00390625" style="0" customWidth="1"/>
  </cols>
  <sheetData>
    <row r="2" spans="2:5" ht="15">
      <c r="B2" s="2" t="s">
        <v>29</v>
      </c>
      <c r="C2" s="14">
        <v>38.1</v>
      </c>
      <c r="D2" s="3" t="s">
        <v>1</v>
      </c>
      <c r="E2" s="3"/>
    </row>
    <row r="3" spans="2:5" ht="15">
      <c r="B3" s="2" t="s">
        <v>30</v>
      </c>
      <c r="C3" s="1">
        <f>1.6</f>
        <v>1.6</v>
      </c>
      <c r="D3" s="3" t="s">
        <v>1</v>
      </c>
      <c r="E3" s="3"/>
    </row>
    <row r="4" spans="2:5" ht="15">
      <c r="B4" s="2" t="s">
        <v>31</v>
      </c>
      <c r="C4" s="15">
        <f>(Chamber_OD_mm/2)-b_</f>
        <v>17.45</v>
      </c>
      <c r="D4" s="3" t="s">
        <v>1</v>
      </c>
      <c r="E4" s="3"/>
    </row>
    <row r="5" spans="2:5" ht="15">
      <c r="B5" s="2" t="s">
        <v>57</v>
      </c>
      <c r="C5" s="11">
        <f>r_^2*PI()</f>
        <v>956.622816999726</v>
      </c>
      <c r="D5" s="3" t="s">
        <v>32</v>
      </c>
      <c r="E5" s="3"/>
    </row>
    <row r="6" spans="2:5" ht="15">
      <c r="B6" s="2" t="s">
        <v>25</v>
      </c>
      <c r="C6" s="14">
        <f>29.3</f>
        <v>29.3</v>
      </c>
      <c r="D6" s="3" t="s">
        <v>1</v>
      </c>
      <c r="E6" s="3"/>
    </row>
    <row r="7" spans="2:5" ht="15">
      <c r="B7" s="2" t="s">
        <v>26</v>
      </c>
      <c r="C7" s="11">
        <f>PI()*(Top_Piston_Diam/2)^2</f>
        <v>674.2564692950754</v>
      </c>
      <c r="D7" s="3" t="s">
        <v>32</v>
      </c>
      <c r="E7" s="3"/>
    </row>
    <row r="8" spans="2:5" ht="15">
      <c r="B8" s="2" t="s">
        <v>27</v>
      </c>
      <c r="C8" s="14">
        <f>28.3</f>
        <v>28.3</v>
      </c>
      <c r="D8" s="3" t="s">
        <v>1</v>
      </c>
      <c r="E8" s="3"/>
    </row>
    <row r="9" spans="2:8" ht="15">
      <c r="B9" s="2" t="s">
        <v>28</v>
      </c>
      <c r="C9" s="11">
        <f>PI()*(Bottom_Piston_Diam/2)^2</f>
        <v>629.0175350833823</v>
      </c>
      <c r="D9" s="3" t="s">
        <v>32</v>
      </c>
      <c r="E9" s="3"/>
      <c r="H9" s="23" t="s">
        <v>55</v>
      </c>
    </row>
    <row r="10" spans="2:5" ht="15">
      <c r="B10" s="2" t="s">
        <v>34</v>
      </c>
      <c r="C10" s="11">
        <f>(Bottom_Piston_Area+Top_Piston_Area)/2</f>
        <v>651.6370021892288</v>
      </c>
      <c r="D10" s="3" t="s">
        <v>32</v>
      </c>
      <c r="E10" s="3"/>
    </row>
    <row r="11" spans="2:8" ht="15">
      <c r="B11" s="2" t="s">
        <v>35</v>
      </c>
      <c r="C11" s="11">
        <f>Chamber_Inside_Area*p</f>
        <v>3297.8409319342895</v>
      </c>
      <c r="D11" s="3" t="s">
        <v>33</v>
      </c>
      <c r="E11" s="3"/>
      <c r="H11" s="24" t="s">
        <v>56</v>
      </c>
    </row>
    <row r="12" spans="2:5" ht="15">
      <c r="B12" s="2" t="s">
        <v>37</v>
      </c>
      <c r="C12" s="11">
        <f>Avg_Piston_Area*p</f>
        <v>2246.4393911516004</v>
      </c>
      <c r="D12" s="3" t="s">
        <v>33</v>
      </c>
      <c r="E12" s="3"/>
    </row>
    <row r="13" spans="2:11" ht="15">
      <c r="B13" s="2" t="s">
        <v>36</v>
      </c>
      <c r="C13" s="11">
        <f>Axial_ID_Force-Avg_Piston_Force</f>
        <v>1051.4015407826892</v>
      </c>
      <c r="D13" s="3" t="s">
        <v>33</v>
      </c>
      <c r="E13" s="3"/>
      <c r="H13" s="29" t="s">
        <v>59</v>
      </c>
      <c r="I13" s="30"/>
      <c r="J13" s="30"/>
      <c r="K13" s="30"/>
    </row>
    <row r="14" spans="2:11" ht="15">
      <c r="B14" s="2" t="s">
        <v>38</v>
      </c>
      <c r="C14" s="11">
        <f>((Chamber_OD_mm/2)^2*PI())-Chamber_Inside_Area</f>
        <v>183.46901096964393</v>
      </c>
      <c r="D14" s="3" t="s">
        <v>32</v>
      </c>
      <c r="E14" s="3"/>
      <c r="H14" s="30"/>
      <c r="I14" s="30"/>
      <c r="J14" s="30"/>
      <c r="K14" s="30"/>
    </row>
    <row r="15" spans="2:11" ht="15">
      <c r="B15" s="2" t="s">
        <v>39</v>
      </c>
      <c r="C15" s="11">
        <f>Nett_Axial_Force/Wall_Cross_Sectional_Area</f>
        <v>5.730676451712327</v>
      </c>
      <c r="D15" s="3" t="s">
        <v>2</v>
      </c>
      <c r="E15" s="3"/>
      <c r="H15" s="30"/>
      <c r="I15" s="30"/>
      <c r="J15" s="30"/>
      <c r="K15" s="30"/>
    </row>
    <row r="16" spans="2:11" ht="15">
      <c r="B16" s="2" t="s">
        <v>39</v>
      </c>
      <c r="C16" s="11">
        <f>Axial_Stress_Mpa*1000000</f>
        <v>5730676.451712327</v>
      </c>
      <c r="D16" s="3" t="s">
        <v>40</v>
      </c>
      <c r="E16" s="3"/>
      <c r="H16" s="30"/>
      <c r="I16" s="30"/>
      <c r="J16" s="30"/>
      <c r="K16" s="30"/>
    </row>
    <row r="17" spans="2:10" ht="15">
      <c r="B17" s="2" t="s">
        <v>41</v>
      </c>
      <c r="C17" s="11">
        <f>(p*1000000*(r_))/((b_))</f>
        <v>37597971.76562499</v>
      </c>
      <c r="D17" s="3" t="s">
        <v>40</v>
      </c>
      <c r="E17" s="3"/>
      <c r="H17" s="31" t="s">
        <v>63</v>
      </c>
      <c r="I17" s="31"/>
      <c r="J17" s="31"/>
    </row>
    <row r="18" spans="2:18" ht="15">
      <c r="B18" s="2"/>
      <c r="C18" s="11"/>
      <c r="D18" s="3"/>
      <c r="E18" s="3"/>
      <c r="H18" s="31"/>
      <c r="I18" s="31"/>
      <c r="J18" s="31"/>
      <c r="R18">
        <f>1+1</f>
        <v>2</v>
      </c>
    </row>
    <row r="19" spans="2:10" ht="15">
      <c r="B19" s="2" t="s">
        <v>17</v>
      </c>
      <c r="C19" s="1">
        <v>500</v>
      </c>
      <c r="D19" s="3" t="s">
        <v>53</v>
      </c>
      <c r="E19" s="3"/>
      <c r="H19" s="31"/>
      <c r="I19" s="31"/>
      <c r="J19" s="31"/>
    </row>
    <row r="20" spans="2:10" ht="15">
      <c r="B20" s="2" t="s">
        <v>18</v>
      </c>
      <c r="C20" s="11">
        <f>C19*0.006894757</f>
        <v>3.4473784999999997</v>
      </c>
      <c r="D20" s="3" t="s">
        <v>2</v>
      </c>
      <c r="E20" s="3"/>
      <c r="H20" s="31"/>
      <c r="I20" s="31"/>
      <c r="J20" s="31"/>
    </row>
    <row r="21" spans="2:10" ht="15">
      <c r="B21" s="2" t="s">
        <v>4</v>
      </c>
      <c r="C21" s="5">
        <v>68900000000</v>
      </c>
      <c r="D21" s="3" t="s">
        <v>3</v>
      </c>
      <c r="E21" s="12" t="s">
        <v>58</v>
      </c>
      <c r="H21" s="31"/>
      <c r="I21" s="31"/>
      <c r="J21" s="31"/>
    </row>
    <row r="22" spans="2:10" ht="15">
      <c r="B22" s="2" t="s">
        <v>22</v>
      </c>
      <c r="C22" s="11">
        <v>0.33</v>
      </c>
      <c r="D22" s="3"/>
      <c r="E22" s="12" t="s">
        <v>58</v>
      </c>
      <c r="H22" s="31"/>
      <c r="I22" s="31"/>
      <c r="J22" s="31"/>
    </row>
    <row r="23" spans="2:10" ht="15">
      <c r="B23" s="2" t="s">
        <v>23</v>
      </c>
      <c r="C23" s="13">
        <f>(1/E_)*(C17-(C22*C16))</f>
        <v>0.0005182416333317841</v>
      </c>
      <c r="D23" s="3"/>
      <c r="E23" s="12"/>
      <c r="H23" s="31"/>
      <c r="I23" s="31"/>
      <c r="J23" s="31"/>
    </row>
    <row r="24" spans="2:10" ht="15">
      <c r="B24" s="2" t="s">
        <v>24</v>
      </c>
      <c r="C24" s="13">
        <f>(1/E_)*(C16-(C22*C17))</f>
        <v>-9.690354471616722E-05</v>
      </c>
      <c r="D24" s="3" t="s">
        <v>42</v>
      </c>
      <c r="E24" s="12"/>
      <c r="H24" s="31"/>
      <c r="I24" s="31"/>
      <c r="J24" s="31"/>
    </row>
    <row r="25" spans="2:10" ht="15">
      <c r="B25" s="2" t="s">
        <v>14</v>
      </c>
      <c r="C25" s="5">
        <f>(p*r_^2)/(b_*E_/1000)</f>
        <v>9.522272965314312E-06</v>
      </c>
      <c r="D25" s="3" t="s">
        <v>0</v>
      </c>
      <c r="E25" s="3"/>
      <c r="H25" s="31"/>
      <c r="I25" s="31"/>
      <c r="J25" s="31"/>
    </row>
    <row r="26" spans="2:10" ht="15">
      <c r="B26" s="2" t="s">
        <v>43</v>
      </c>
      <c r="C26" s="4">
        <f>Chamber_OD_mm*Hoop_strain</f>
        <v>0.019745006229940975</v>
      </c>
      <c r="D26" s="3" t="s">
        <v>1</v>
      </c>
      <c r="E26" s="3"/>
      <c r="H26" s="31"/>
      <c r="I26" s="31"/>
      <c r="J26" s="31"/>
    </row>
    <row r="27" spans="2:10" ht="15">
      <c r="B27" s="2" t="s">
        <v>15</v>
      </c>
      <c r="C27" s="4">
        <f>C_*Hoop_strain</f>
        <v>0.06203076651706726</v>
      </c>
      <c r="D27" s="3" t="s">
        <v>1</v>
      </c>
      <c r="E27" s="3"/>
      <c r="H27" s="31"/>
      <c r="I27" s="31"/>
      <c r="J27" s="31"/>
    </row>
    <row r="28" spans="2:5" ht="15">
      <c r="B28" s="2" t="s">
        <v>16</v>
      </c>
      <c r="C28" s="6">
        <f>Chamber_OD_mm*PI()</f>
        <v>119.69468010177113</v>
      </c>
      <c r="D28" s="3" t="s">
        <v>1</v>
      </c>
      <c r="E28" s="3"/>
    </row>
    <row r="29" spans="2:5" ht="15">
      <c r="B29" s="2" t="s">
        <v>5</v>
      </c>
      <c r="C29" s="1">
        <v>2</v>
      </c>
      <c r="D29" s="3" t="s">
        <v>6</v>
      </c>
      <c r="E29" s="3"/>
    </row>
    <row r="30" spans="2:5" ht="15">
      <c r="B30" s="2" t="s">
        <v>7</v>
      </c>
      <c r="C30" s="1">
        <v>1000</v>
      </c>
      <c r="D30" s="3" t="s">
        <v>8</v>
      </c>
      <c r="E30" s="3"/>
    </row>
    <row r="31" spans="2:5" ht="15">
      <c r="B31" s="2" t="s">
        <v>49</v>
      </c>
      <c r="C31" s="1">
        <v>1000</v>
      </c>
      <c r="D31" s="3" t="s">
        <v>8</v>
      </c>
      <c r="E31" s="3"/>
    </row>
    <row r="32" spans="2:5" ht="15">
      <c r="B32" s="2" t="s">
        <v>44</v>
      </c>
      <c r="C32" s="6">
        <f>Rg*Strain_Gauge_Factor*Hoop_strain</f>
        <v>1.0364832666635682</v>
      </c>
      <c r="D32" s="3" t="s">
        <v>8</v>
      </c>
      <c r="E32" s="3"/>
    </row>
    <row r="33" spans="2:5" ht="15">
      <c r="B33" s="2" t="s">
        <v>45</v>
      </c>
      <c r="C33" s="4">
        <f>Rg*Strain_Gauge_Factor*C24</f>
        <v>-0.19380708943233443</v>
      </c>
      <c r="D33" s="3" t="s">
        <v>8</v>
      </c>
      <c r="E33" s="3"/>
    </row>
    <row r="35" spans="1:10" ht="15">
      <c r="A35" s="28"/>
      <c r="B35" s="8" t="s">
        <v>9</v>
      </c>
      <c r="C35" s="9"/>
      <c r="D35" s="10"/>
      <c r="E35" s="10"/>
      <c r="F35" s="26"/>
      <c r="G35" s="26"/>
      <c r="H35" s="26"/>
      <c r="I35" s="27" t="s">
        <v>52</v>
      </c>
      <c r="J35" s="27"/>
    </row>
    <row r="36" spans="1:10" ht="15">
      <c r="A36" s="28"/>
      <c r="B36" s="2" t="s">
        <v>51</v>
      </c>
      <c r="C36" s="25">
        <v>5</v>
      </c>
      <c r="D36" s="3" t="s">
        <v>11</v>
      </c>
      <c r="E36" s="3"/>
      <c r="F36" s="26"/>
      <c r="G36" s="26"/>
      <c r="H36" s="26"/>
      <c r="I36" s="27"/>
      <c r="J36" s="27"/>
    </row>
    <row r="37" spans="1:10" ht="15">
      <c r="A37" s="28"/>
      <c r="B37" s="2" t="s">
        <v>60</v>
      </c>
      <c r="C37" s="6">
        <f>Passive_Rs</f>
        <v>1000</v>
      </c>
      <c r="D37" s="3" t="s">
        <v>8</v>
      </c>
      <c r="E37" s="3"/>
      <c r="F37" s="26"/>
      <c r="G37" s="26"/>
      <c r="H37" s="26"/>
      <c r="I37" s="27"/>
      <c r="J37" s="27"/>
    </row>
    <row r="38" spans="1:10" ht="15">
      <c r="A38" s="28"/>
      <c r="B38" s="2" t="s">
        <v>61</v>
      </c>
      <c r="C38" s="6">
        <f>Passive_Rs</f>
        <v>1000</v>
      </c>
      <c r="D38" s="3" t="s">
        <v>8</v>
      </c>
      <c r="E38" s="3"/>
      <c r="F38" s="26"/>
      <c r="G38" s="26"/>
      <c r="H38" s="26"/>
      <c r="I38" s="27"/>
      <c r="J38" s="27"/>
    </row>
    <row r="39" spans="1:10" ht="15">
      <c r="A39" s="28"/>
      <c r="B39" s="2" t="s">
        <v>54</v>
      </c>
      <c r="C39" s="6">
        <f>Rg+deltaR</f>
        <v>1001.0364832666636</v>
      </c>
      <c r="D39" s="3" t="s">
        <v>8</v>
      </c>
      <c r="E39" s="3"/>
      <c r="F39" s="26"/>
      <c r="G39" s="26"/>
      <c r="H39" s="26"/>
      <c r="I39" s="27"/>
      <c r="J39" s="27"/>
    </row>
    <row r="40" spans="1:10" ht="15">
      <c r="A40" s="28"/>
      <c r="B40" s="2" t="s">
        <v>62</v>
      </c>
      <c r="C40" s="6">
        <f>Passive_Rs</f>
        <v>1000</v>
      </c>
      <c r="D40" s="3" t="s">
        <v>8</v>
      </c>
      <c r="E40" s="3"/>
      <c r="F40" s="26"/>
      <c r="G40" s="26"/>
      <c r="H40" s="26"/>
      <c r="I40" s="27"/>
      <c r="J40" s="27"/>
    </row>
    <row r="41" spans="1:10" ht="15">
      <c r="A41" s="28"/>
      <c r="B41" s="2" t="s">
        <v>10</v>
      </c>
      <c r="C41" s="7">
        <f>Vpos*(((_R3*_R1)-(_R4*_R2))/((_R2+_R3)*(_R1+_R4)))</f>
        <v>0.0012949329951390703</v>
      </c>
      <c r="D41" s="3" t="s">
        <v>11</v>
      </c>
      <c r="E41" s="3"/>
      <c r="F41" s="26"/>
      <c r="G41" s="26"/>
      <c r="H41" s="26"/>
      <c r="I41" s="27"/>
      <c r="J41" s="27"/>
    </row>
    <row r="42" spans="1:10" ht="15">
      <c r="A42" s="28"/>
      <c r="B42" s="20" t="s">
        <v>13</v>
      </c>
      <c r="C42" s="21">
        <f>C36*(((C39*C37)-(C40*C38))/((C38+C39)*(C37+C40)))*1000</f>
        <v>1.2949329951390702</v>
      </c>
      <c r="D42" s="22" t="s">
        <v>12</v>
      </c>
      <c r="E42" s="22"/>
      <c r="F42" s="26"/>
      <c r="G42" s="26"/>
      <c r="H42" s="26"/>
      <c r="I42" s="27"/>
      <c r="J42" s="27"/>
    </row>
    <row r="43" spans="1:10" ht="15">
      <c r="A43" s="28"/>
      <c r="B43" s="17" t="s">
        <v>50</v>
      </c>
      <c r="C43" s="18">
        <f>C36*(((Rg*C37)-(C40*C38))/((C38+Rg)*(C37+C40)))*1000</f>
        <v>0</v>
      </c>
      <c r="D43" s="19" t="s">
        <v>12</v>
      </c>
      <c r="E43" s="19"/>
      <c r="F43" s="26"/>
      <c r="G43" s="26"/>
      <c r="H43" s="26"/>
      <c r="I43" s="27"/>
      <c r="J43" s="27"/>
    </row>
    <row r="44" ht="15">
      <c r="C44" s="16"/>
    </row>
    <row r="45" spans="2:6" ht="15">
      <c r="B45" s="2" t="s">
        <v>46</v>
      </c>
      <c r="C45" s="11">
        <f>Vpos/(_R1+_R2)*(Vpos*_R1/(_R1+_R2))*1000</f>
        <v>6.25</v>
      </c>
      <c r="D45" s="3" t="s">
        <v>19</v>
      </c>
      <c r="E45" s="3"/>
      <c r="F45" s="16"/>
    </row>
    <row r="46" spans="2:5" ht="15">
      <c r="B46" s="2" t="s">
        <v>47</v>
      </c>
      <c r="C46" s="11">
        <f>Vpos/(_R1+_R2)*(Vpos*_R2/(_R1+_R2))*1000</f>
        <v>6.25</v>
      </c>
      <c r="D46" s="3" t="s">
        <v>19</v>
      </c>
      <c r="E46" s="3"/>
    </row>
    <row r="47" spans="2:5" ht="15">
      <c r="B47" s="2" t="s">
        <v>20</v>
      </c>
      <c r="C47" s="11">
        <f>Vpos/(_R3+_R4)*(Vpos*_R3/(_R3+_R4))*1000</f>
        <v>6.249998323148536</v>
      </c>
      <c r="D47" s="3" t="s">
        <v>19</v>
      </c>
      <c r="E47" s="3"/>
    </row>
    <row r="48" spans="2:5" ht="15">
      <c r="B48" s="2" t="s">
        <v>48</v>
      </c>
      <c r="C48" s="11">
        <f>Vpos/(_R3+_R4)*(Vpos*_R4/(_R3+_R4))*1000</f>
        <v>6.243527011875766</v>
      </c>
      <c r="D48" s="3" t="s">
        <v>19</v>
      </c>
      <c r="E48" s="3"/>
    </row>
    <row r="49" spans="2:5" ht="15">
      <c r="B49" s="2" t="s">
        <v>21</v>
      </c>
      <c r="C49" s="11">
        <f>Vpos^2/(1/((1/(_R1+_R3))+(1/(_R2+_R4))))*1000</f>
        <v>24.9935253350243</v>
      </c>
      <c r="D49" s="3" t="s">
        <v>19</v>
      </c>
      <c r="E49" s="3"/>
    </row>
  </sheetData>
  <sheetProtection/>
  <mergeCells count="5">
    <mergeCell ref="F35:H43"/>
    <mergeCell ref="I35:J43"/>
    <mergeCell ref="A35:A43"/>
    <mergeCell ref="H13:K16"/>
    <mergeCell ref="H17:J27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</dc:creator>
  <cp:keywords/>
  <dc:description/>
  <cp:lastModifiedBy>Troy</cp:lastModifiedBy>
  <dcterms:created xsi:type="dcterms:W3CDTF">2017-03-15T05:44:11Z</dcterms:created>
  <dcterms:modified xsi:type="dcterms:W3CDTF">2017-11-01T22:36:36Z</dcterms:modified>
  <cp:category/>
  <cp:version/>
  <cp:contentType/>
  <cp:contentStatus/>
</cp:coreProperties>
</file>